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2"/>
  </bookViews>
  <sheets>
    <sheet name="CONDUCTOR" sheetId="1" r:id="rId1"/>
    <sheet name="ESTRUCTURAS" sheetId="2" r:id="rId2"/>
    <sheet name="MATERIALES" sheetId="3" r:id="rId3"/>
  </sheets>
  <definedNames>
    <definedName name="_xlnm.Print_Area" localSheetId="2">'MATERIALES'!$B$3:$I$39</definedName>
  </definedNames>
  <calcPr calcId="152511"/>
</workbook>
</file>

<file path=xl/sharedStrings.xml><?xml version="1.0" encoding="utf-8"?>
<sst xmlns="http://schemas.openxmlformats.org/spreadsheetml/2006/main" count="369" uniqueCount="136">
  <si>
    <t>De</t>
  </si>
  <si>
    <t>Hasta</t>
  </si>
  <si>
    <t>Distancia (mts)</t>
  </si>
  <si>
    <t>POSTE</t>
  </si>
  <si>
    <t>Estructura MT</t>
  </si>
  <si>
    <t>Estructura BT</t>
  </si>
  <si>
    <t>TENSOR</t>
  </si>
  <si>
    <t>Seccionador</t>
  </si>
  <si>
    <t>Trafo</t>
  </si>
  <si>
    <t>Luminaria</t>
  </si>
  <si>
    <t>Acometida</t>
  </si>
  <si>
    <t>P1</t>
  </si>
  <si>
    <t>P2</t>
  </si>
  <si>
    <t>P6</t>
  </si>
  <si>
    <t>P7</t>
  </si>
  <si>
    <t>Conductor ACSR 2</t>
  </si>
  <si>
    <t>Subtotal</t>
  </si>
  <si>
    <t>Conductor Preensamblado 2x50(50)</t>
  </si>
  <si>
    <t>Multiplex 3x6</t>
  </si>
  <si>
    <t># Acometidas</t>
  </si>
  <si>
    <t>Distancia promedio de acometida</t>
  </si>
  <si>
    <t>TIPO</t>
  </si>
  <si>
    <t>FV</t>
  </si>
  <si>
    <t>ALTURA</t>
  </si>
  <si>
    <t>ITEM</t>
  </si>
  <si>
    <t>12m</t>
  </si>
  <si>
    <t>KGF</t>
  </si>
  <si>
    <t>1EP+1ER</t>
  </si>
  <si>
    <t>1EP</t>
  </si>
  <si>
    <t>2(110W)</t>
  </si>
  <si>
    <t>1ER</t>
  </si>
  <si>
    <t>Desperdicio 1,5%</t>
  </si>
  <si>
    <t>TOTAL</t>
  </si>
  <si>
    <t>Conteo de estructuras</t>
  </si>
  <si>
    <t>Descripción</t>
  </si>
  <si>
    <t>Postes 12m FV 500 kgf</t>
  </si>
  <si>
    <t>Postes 10m FV 400 kgf</t>
  </si>
  <si>
    <t>Suma 1</t>
  </si>
  <si>
    <t>Suma 2</t>
  </si>
  <si>
    <t>Conductor TTU # 1/0</t>
  </si>
  <si>
    <t>Conductor TTU # 3/0</t>
  </si>
  <si>
    <t>Item</t>
  </si>
  <si>
    <t>Mano de Obra</t>
  </si>
  <si>
    <t>Suministro y tendido de conductor ACSR, 2AWG</t>
  </si>
  <si>
    <t>Cantidad</t>
  </si>
  <si>
    <t>mts</t>
  </si>
  <si>
    <t>Unidad</t>
  </si>
  <si>
    <t>P. U Materiales</t>
  </si>
  <si>
    <t>Subtotal Mat</t>
  </si>
  <si>
    <t xml:space="preserve">Sub M.O </t>
  </si>
  <si>
    <t>Suministro y montaje de poste de fibra de vidrio de 12 metros, 500 kgf</t>
  </si>
  <si>
    <t>Suministro y montaje de poste de fibra de vidrio de 10 metros, 400 kgf</t>
  </si>
  <si>
    <t>U</t>
  </si>
  <si>
    <t>Suministro y montaje de Estructura ESE-1EP 240V</t>
  </si>
  <si>
    <t>Suministro y montaje de Estructura ESE-1ER 240V</t>
  </si>
  <si>
    <t>Seccionadores</t>
  </si>
  <si>
    <t>Suministro y montaje de puesta a tierra mediante electrodo activo químico</t>
  </si>
  <si>
    <t>Excavación de suelo para montaje de poste o tensor - terreno rocoso</t>
  </si>
  <si>
    <t>Excavación de suelo para montaje de puesta a tierra - terreno rocoso</t>
  </si>
  <si>
    <t>Subtotal M.O</t>
  </si>
  <si>
    <t>Sub 1+2</t>
  </si>
  <si>
    <t>IVA 12%</t>
  </si>
  <si>
    <t>1CRT</t>
  </si>
  <si>
    <t>TAT-0TS</t>
  </si>
  <si>
    <t>TAD-0TS</t>
  </si>
  <si>
    <t>1PR3e+1ER</t>
  </si>
  <si>
    <t>P3</t>
  </si>
  <si>
    <t>P4</t>
  </si>
  <si>
    <t>P5</t>
  </si>
  <si>
    <t>Trafo monofásico 25 kVA</t>
  </si>
  <si>
    <t>Suministro y montaje de Estructura EST-1CR 15kV</t>
  </si>
  <si>
    <t>Suministro, montaje e instalacion de acometida bifásica en bajo voltaje 240-120V directa</t>
  </si>
  <si>
    <t>1CPT</t>
  </si>
  <si>
    <t>1ED</t>
  </si>
  <si>
    <t>TAT-0PD</t>
  </si>
  <si>
    <t>TAD-0FS</t>
  </si>
  <si>
    <t>TAT-0TD</t>
  </si>
  <si>
    <t>Suministro y montaje de Estructura ESE-1ED 240V</t>
  </si>
  <si>
    <t>Medidor</t>
  </si>
  <si>
    <t>medidor</t>
  </si>
  <si>
    <t>Acometidas</t>
  </si>
  <si>
    <t>Abrazadera para acometida</t>
  </si>
  <si>
    <t>Abrazadera</t>
  </si>
  <si>
    <t>Desmontaje y desalojo de red baja tensión (incluye: conductor, herrajes, aisladores y luminaria)</t>
  </si>
  <si>
    <t>Mano d eobra *1.5</t>
  </si>
  <si>
    <t>Suministro y montaje  de abrazadera para acometida en bajo voltaje 240-120V(Maximo 6 Acometidas)</t>
  </si>
  <si>
    <t>-</t>
  </si>
  <si>
    <t>Conductor Concentrico de aluminio 2x4(4)</t>
  </si>
  <si>
    <t>1CAT</t>
  </si>
  <si>
    <t>TAT-0PS</t>
  </si>
  <si>
    <t>110W</t>
  </si>
  <si>
    <t>Excavaciones</t>
  </si>
  <si>
    <t>Suministro y montaje de Estructura EST-1CA 15kV</t>
  </si>
  <si>
    <t>Suministro, montaje e instalación transformador monofásico  autoprotegidol 1F, 10 kVA</t>
  </si>
  <si>
    <t>Trafo monofásico 10 kVA</t>
  </si>
  <si>
    <t>Desbroce de vegetacion</t>
  </si>
  <si>
    <t>km</t>
  </si>
  <si>
    <t>Suministro y tendido de cable preensamblado 2x35+1x35 mm2</t>
  </si>
  <si>
    <t>P8</t>
  </si>
  <si>
    <t>1CDT</t>
  </si>
  <si>
    <t>3(TAT-0TS)</t>
  </si>
  <si>
    <t>Suministro y montaje de Estructura EST-1CD 15kV</t>
  </si>
  <si>
    <t>Suministro y montaje de Estructura EST-1CP 15kV</t>
  </si>
  <si>
    <t>Suministro y montaje  tensor a tierra simple 13,8 kV</t>
  </si>
  <si>
    <t>Desmontaje y montaje transformador monofásico  autoprotegido 1F, de 15 kVA</t>
  </si>
  <si>
    <t>P9</t>
  </si>
  <si>
    <t>P10</t>
  </si>
  <si>
    <t>11m</t>
  </si>
  <si>
    <t>P11e</t>
  </si>
  <si>
    <t>P12e</t>
  </si>
  <si>
    <t>H.A</t>
  </si>
  <si>
    <t>9m</t>
  </si>
  <si>
    <t>P13e</t>
  </si>
  <si>
    <t>3(1EP)</t>
  </si>
  <si>
    <t>3(1ER)</t>
  </si>
  <si>
    <t>2(TAD-0TS)</t>
  </si>
  <si>
    <t>P8e</t>
  </si>
  <si>
    <t>F.V</t>
  </si>
  <si>
    <t>1 secc</t>
  </si>
  <si>
    <t>2(1 secc)</t>
  </si>
  <si>
    <t>1CRT+1CPT</t>
  </si>
  <si>
    <t>10 kVA</t>
  </si>
  <si>
    <t>Suministro, montaje e instalación de luminaria autocontrolada tipo LED de 110W</t>
  </si>
  <si>
    <t>Desmontaje y desalojo de red media tensión monofásica (incluye: conductor, herrajes, aisladores y seccionador)</t>
  </si>
  <si>
    <t>P1e</t>
  </si>
  <si>
    <t>3(1ED)</t>
  </si>
  <si>
    <t>10m</t>
  </si>
  <si>
    <t xml:space="preserve">Desmontaje y montaje de  Acometida 120/240 - 127/220 </t>
  </si>
  <si>
    <t>Sector Cerro Grande</t>
  </si>
  <si>
    <t>PROYECTO Cerro Grande</t>
  </si>
  <si>
    <t>Suministro, montaje e instalacion de medidor bifasico Radio Frecuencia bajo voltaje 220-127V // 240-120V</t>
  </si>
  <si>
    <t>Retiro y desalojo de poste de madera o fibra</t>
  </si>
  <si>
    <t>Anexo # 3</t>
  </si>
  <si>
    <t>Suministro, montaje e instalación de seccionamiento con fusible para una fase (Incluye cruceta y pararrayos)</t>
  </si>
  <si>
    <t>Suministro, montaje e instalación de seccionamiento con fusible para una fase (incluye cruceta y sin Pararrayos)</t>
  </si>
  <si>
    <t>Suministro y montaje  tensor a tierra simple 240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</si>
</sst>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 * #,##0.00_ ;_ * \-#,##0.00_ ;_ * &quot;-&quot;??_ ;_ @_ "/>
    <numFmt numFmtId="167" formatCode="0.0"/>
    <numFmt numFmtId="168" formatCode="_(* #,##0.00_);_(* \(#,##0.00\);_(* &quot;-&quot;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 wrapText="1"/>
      <protection/>
    </xf>
    <xf numFmtId="165" fontId="0" fillId="0" borderId="0" applyFont="0" applyFill="0" applyBorder="0" applyAlignment="0" applyProtection="0"/>
    <xf numFmtId="0" fontId="3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/>
    </xf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/>
    <xf numFmtId="166" fontId="2" fillId="0" borderId="1" xfId="20" applyFont="1" applyBorder="1"/>
    <xf numFmtId="0" fontId="0" fillId="0" borderId="1" xfId="0" applyFill="1" applyBorder="1"/>
    <xf numFmtId="2" fontId="0" fillId="0" borderId="1" xfId="0" applyNumberFormat="1" applyFill="1" applyBorder="1"/>
    <xf numFmtId="0" fontId="0" fillId="0" borderId="0" xfId="0" applyFill="1"/>
    <xf numFmtId="0" fontId="0" fillId="0" borderId="1" xfId="0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3" borderId="0" xfId="0" applyFill="1"/>
    <xf numFmtId="0" fontId="0" fillId="2" borderId="1" xfId="0" applyFill="1" applyBorder="1" applyAlignment="1">
      <alignment horizontal="right"/>
    </xf>
    <xf numFmtId="43" fontId="2" fillId="0" borderId="0" xfId="0" applyNumberFormat="1" applyFont="1"/>
    <xf numFmtId="0" fontId="4" fillId="0" borderId="0" xfId="0" applyFont="1"/>
    <xf numFmtId="2" fontId="4" fillId="0" borderId="0" xfId="0" applyNumberFormat="1" applyFont="1"/>
    <xf numFmtId="165" fontId="4" fillId="0" borderId="0" xfId="0" applyNumberFormat="1" applyFont="1"/>
    <xf numFmtId="168" fontId="0" fillId="0" borderId="0" xfId="21" applyNumberFormat="1" applyFont="1" applyFill="1" applyBorder="1"/>
    <xf numFmtId="164" fontId="0" fillId="0" borderId="0" xfId="21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[0]" xfId="21"/>
    <cellStyle name="Normal 2" xfId="22"/>
    <cellStyle name="Millares 2" xfId="23"/>
    <cellStyle name="Normal 7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1">
      <selection activeCell="F7" sqref="F7"/>
    </sheetView>
  </sheetViews>
  <sheetFormatPr defaultColWidth="11.421875" defaultRowHeight="15"/>
  <cols>
    <col min="4" max="4" width="15.28125" style="0" customWidth="1"/>
    <col min="5" max="5" width="19.140625" style="0" customWidth="1"/>
    <col min="6" max="6" width="32.8515625" style="0" bestFit="1" customWidth="1"/>
    <col min="7" max="7" width="32.7109375" style="0" customWidth="1"/>
    <col min="8" max="8" width="13.140625" style="0" hidden="1" customWidth="1"/>
    <col min="9" max="9" width="18.421875" style="0" hidden="1" customWidth="1"/>
    <col min="10" max="10" width="18.8515625" style="0" hidden="1" customWidth="1"/>
    <col min="11" max="11" width="11.421875" style="0" hidden="1" customWidth="1"/>
  </cols>
  <sheetData>
    <row r="1" spans="2:5" ht="15">
      <c r="B1" s="34" t="s">
        <v>129</v>
      </c>
      <c r="C1" s="34"/>
      <c r="D1" s="34"/>
      <c r="E1" s="34"/>
    </row>
    <row r="2" spans="2:10" ht="15">
      <c r="B2" s="1" t="s">
        <v>0</v>
      </c>
      <c r="C2" s="1" t="s">
        <v>1</v>
      </c>
      <c r="D2" s="1" t="s">
        <v>2</v>
      </c>
      <c r="E2" s="1" t="s">
        <v>15</v>
      </c>
      <c r="F2" s="1" t="s">
        <v>17</v>
      </c>
      <c r="H2" s="1" t="s">
        <v>18</v>
      </c>
      <c r="I2" s="1" t="s">
        <v>39</v>
      </c>
      <c r="J2" s="1" t="s">
        <v>40</v>
      </c>
    </row>
    <row r="3" spans="2:5" ht="15">
      <c r="B3" t="s">
        <v>11</v>
      </c>
      <c r="C3" t="s">
        <v>12</v>
      </c>
      <c r="D3">
        <v>85</v>
      </c>
      <c r="E3">
        <f>2*D3</f>
        <v>170</v>
      </c>
    </row>
    <row r="4" spans="2:5" ht="15">
      <c r="B4" t="s">
        <v>12</v>
      </c>
      <c r="C4" t="s">
        <v>66</v>
      </c>
      <c r="D4">
        <v>85</v>
      </c>
      <c r="E4" s="17">
        <f aca="true" t="shared" si="0" ref="E4:E11">2*D4</f>
        <v>170</v>
      </c>
    </row>
    <row r="5" spans="2:5" ht="15">
      <c r="B5" t="s">
        <v>66</v>
      </c>
      <c r="C5" t="s">
        <v>67</v>
      </c>
      <c r="D5">
        <v>85</v>
      </c>
      <c r="E5" s="17">
        <f t="shared" si="0"/>
        <v>170</v>
      </c>
    </row>
    <row r="6" spans="2:5" s="17" customFormat="1" ht="15">
      <c r="B6" s="17" t="s">
        <v>67</v>
      </c>
      <c r="C6" s="17" t="s">
        <v>68</v>
      </c>
      <c r="D6" s="17">
        <v>85</v>
      </c>
      <c r="E6" s="17">
        <f t="shared" si="0"/>
        <v>170</v>
      </c>
    </row>
    <row r="7" spans="2:5" s="17" customFormat="1" ht="15">
      <c r="B7" s="17" t="s">
        <v>68</v>
      </c>
      <c r="C7" s="17" t="s">
        <v>13</v>
      </c>
      <c r="D7" s="17">
        <v>80</v>
      </c>
      <c r="E7" s="17">
        <f t="shared" si="0"/>
        <v>160</v>
      </c>
    </row>
    <row r="8" spans="2:5" s="17" customFormat="1" ht="15">
      <c r="B8" s="17" t="s">
        <v>14</v>
      </c>
      <c r="C8" s="17" t="s">
        <v>98</v>
      </c>
      <c r="D8" s="17">
        <v>80</v>
      </c>
      <c r="E8" s="17">
        <f t="shared" si="0"/>
        <v>160</v>
      </c>
    </row>
    <row r="9" spans="2:5" s="17" customFormat="1" ht="15">
      <c r="B9" s="17" t="s">
        <v>98</v>
      </c>
      <c r="C9" s="17" t="s">
        <v>105</v>
      </c>
      <c r="D9" s="17">
        <v>80</v>
      </c>
      <c r="E9" s="17">
        <f t="shared" si="0"/>
        <v>160</v>
      </c>
    </row>
    <row r="10" spans="2:5" s="17" customFormat="1" ht="15">
      <c r="B10" s="17" t="s">
        <v>105</v>
      </c>
      <c r="C10" s="17" t="s">
        <v>106</v>
      </c>
      <c r="D10" s="17">
        <v>80</v>
      </c>
      <c r="E10" s="17">
        <f t="shared" si="0"/>
        <v>160</v>
      </c>
    </row>
    <row r="11" spans="2:5" s="17" customFormat="1" ht="15">
      <c r="B11" s="17" t="s">
        <v>106</v>
      </c>
      <c r="C11" s="17" t="s">
        <v>108</v>
      </c>
      <c r="D11" s="17">
        <v>80</v>
      </c>
      <c r="E11" s="17">
        <f t="shared" si="0"/>
        <v>160</v>
      </c>
    </row>
    <row r="12" spans="2:5" s="17" customFormat="1" ht="15">
      <c r="B12" s="17" t="s">
        <v>11</v>
      </c>
      <c r="C12" s="17" t="s">
        <v>109</v>
      </c>
      <c r="D12" s="17">
        <v>105</v>
      </c>
      <c r="E12" s="17">
        <f>+D12*3</f>
        <v>315</v>
      </c>
    </row>
    <row r="13" spans="2:5" s="17" customFormat="1" ht="15">
      <c r="B13" s="17" t="s">
        <v>11</v>
      </c>
      <c r="C13" s="17" t="s">
        <v>112</v>
      </c>
      <c r="D13" s="17">
        <v>38</v>
      </c>
      <c r="E13" s="17">
        <f>+D13*3</f>
        <v>114</v>
      </c>
    </row>
    <row r="14" spans="1:5" s="17" customFormat="1" ht="15">
      <c r="A14" s="25"/>
      <c r="B14" s="17" t="s">
        <v>11</v>
      </c>
      <c r="C14" s="17" t="s">
        <v>12</v>
      </c>
      <c r="D14" s="17">
        <v>124</v>
      </c>
      <c r="E14" s="17">
        <f aca="true" t="shared" si="1" ref="E14:E17">2*D14</f>
        <v>248</v>
      </c>
    </row>
    <row r="15" spans="2:5" s="17" customFormat="1" ht="15">
      <c r="B15" s="17" t="s">
        <v>12</v>
      </c>
      <c r="C15" s="17" t="s">
        <v>66</v>
      </c>
      <c r="D15" s="17">
        <v>89</v>
      </c>
      <c r="E15" s="17">
        <f t="shared" si="1"/>
        <v>178</v>
      </c>
    </row>
    <row r="16" spans="2:5" s="17" customFormat="1" ht="15">
      <c r="B16" s="17" t="s">
        <v>66</v>
      </c>
      <c r="C16" s="17" t="s">
        <v>67</v>
      </c>
      <c r="D16" s="17">
        <v>89</v>
      </c>
      <c r="E16" s="17">
        <f t="shared" si="1"/>
        <v>178</v>
      </c>
    </row>
    <row r="17" spans="2:5" s="17" customFormat="1" ht="15">
      <c r="B17" s="17" t="s">
        <v>67</v>
      </c>
      <c r="C17" s="17" t="s">
        <v>68</v>
      </c>
      <c r="D17" s="17">
        <v>86</v>
      </c>
      <c r="E17" s="17">
        <f t="shared" si="1"/>
        <v>172</v>
      </c>
    </row>
    <row r="18" spans="2:6" s="17" customFormat="1" ht="15">
      <c r="B18" s="17" t="s">
        <v>68</v>
      </c>
      <c r="C18" s="17" t="s">
        <v>13</v>
      </c>
      <c r="D18" s="17">
        <v>63</v>
      </c>
      <c r="E18" s="17">
        <f>1*D18</f>
        <v>63</v>
      </c>
      <c r="F18" s="17">
        <f>+D18</f>
        <v>63</v>
      </c>
    </row>
    <row r="19" spans="2:6" s="17" customFormat="1" ht="15">
      <c r="B19" s="17" t="s">
        <v>13</v>
      </c>
      <c r="C19" s="17" t="s">
        <v>14</v>
      </c>
      <c r="D19" s="17">
        <v>60</v>
      </c>
      <c r="F19" s="17">
        <f>+D19</f>
        <v>60</v>
      </c>
    </row>
    <row r="20" spans="2:5" s="17" customFormat="1" ht="15">
      <c r="B20" s="17" t="s">
        <v>116</v>
      </c>
      <c r="C20" s="17" t="s">
        <v>11</v>
      </c>
      <c r="D20" s="17">
        <v>15</v>
      </c>
      <c r="E20" s="17">
        <f>+D20*2</f>
        <v>30</v>
      </c>
    </row>
    <row r="21" spans="1:5" s="17" customFormat="1" ht="15">
      <c r="A21" s="25"/>
      <c r="B21" s="17" t="s">
        <v>11</v>
      </c>
      <c r="C21" s="17" t="s">
        <v>12</v>
      </c>
      <c r="D21" s="17">
        <v>109</v>
      </c>
      <c r="E21" s="17">
        <f>+D21*2</f>
        <v>218</v>
      </c>
    </row>
    <row r="22" spans="2:5" s="17" customFormat="1" ht="15">
      <c r="B22" s="17" t="s">
        <v>12</v>
      </c>
      <c r="C22" s="17" t="s">
        <v>66</v>
      </c>
      <c r="D22" s="17">
        <v>94</v>
      </c>
      <c r="E22" s="17">
        <f aca="true" t="shared" si="2" ref="E22">+D22*2</f>
        <v>188</v>
      </c>
    </row>
    <row r="23" spans="2:5" s="17" customFormat="1" ht="15">
      <c r="B23" s="17" t="s">
        <v>66</v>
      </c>
      <c r="C23" s="17" t="s">
        <v>67</v>
      </c>
      <c r="D23" s="17">
        <v>77</v>
      </c>
      <c r="E23" s="17">
        <f aca="true" t="shared" si="3" ref="E23:E26">+D23*2</f>
        <v>154</v>
      </c>
    </row>
    <row r="24" spans="1:5" s="17" customFormat="1" ht="15">
      <c r="A24" s="25"/>
      <c r="B24" s="17" t="s">
        <v>124</v>
      </c>
      <c r="C24" s="17" t="s">
        <v>12</v>
      </c>
      <c r="D24" s="17">
        <v>92</v>
      </c>
      <c r="E24" s="17">
        <f t="shared" si="3"/>
        <v>184</v>
      </c>
    </row>
    <row r="25" spans="2:5" s="17" customFormat="1" ht="15">
      <c r="B25" s="17" t="s">
        <v>12</v>
      </c>
      <c r="C25" s="17" t="s">
        <v>66</v>
      </c>
      <c r="D25" s="17">
        <v>89</v>
      </c>
      <c r="E25" s="17">
        <f t="shared" si="3"/>
        <v>178</v>
      </c>
    </row>
    <row r="26" spans="2:5" s="17" customFormat="1" ht="15">
      <c r="B26" s="17" t="s">
        <v>66</v>
      </c>
      <c r="C26" s="17" t="s">
        <v>67</v>
      </c>
      <c r="D26" s="17">
        <v>89</v>
      </c>
      <c r="E26" s="17">
        <f t="shared" si="3"/>
        <v>178</v>
      </c>
    </row>
    <row r="27" spans="4:10" ht="15">
      <c r="D27" s="2" t="s">
        <v>16</v>
      </c>
      <c r="E27" s="3">
        <f>SUM(E3:E26)</f>
        <v>3878</v>
      </c>
      <c r="F27" s="3">
        <f>SUM(F3:F26)</f>
        <v>123</v>
      </c>
      <c r="G27" s="3"/>
      <c r="H27" s="3">
        <f>SUM(H3:H13)</f>
        <v>0</v>
      </c>
      <c r="I27" s="3">
        <f>SUM(I3:I13)</f>
        <v>0</v>
      </c>
      <c r="J27" s="3">
        <f>SUM(J3:J13)</f>
        <v>0</v>
      </c>
    </row>
    <row r="28" spans="4:10" ht="15">
      <c r="D28" t="s">
        <v>31</v>
      </c>
      <c r="E28" s="3">
        <f>+E27*0.015</f>
        <v>58.169999999999995</v>
      </c>
      <c r="F28" s="3">
        <f>+F27*0.015</f>
        <v>1.845</v>
      </c>
      <c r="G28" s="3"/>
      <c r="H28" s="3">
        <f aca="true" t="shared" si="4" ref="H28">+H27*0.015</f>
        <v>0</v>
      </c>
      <c r="I28" s="3"/>
      <c r="J28" s="3"/>
    </row>
    <row r="29" spans="4:10" ht="15">
      <c r="D29" t="s">
        <v>32</v>
      </c>
      <c r="E29" s="3">
        <f>+ROUNDUP(+E27+E28,2)</f>
        <v>3936.17</v>
      </c>
      <c r="F29" s="3">
        <f>+F27+F28</f>
        <v>124.845</v>
      </c>
      <c r="G29" s="3"/>
      <c r="H29" s="3">
        <f aca="true" t="shared" si="5" ref="H29">+H27+H28</f>
        <v>0</v>
      </c>
      <c r="I29" s="3">
        <f aca="true" t="shared" si="6" ref="I29:J29">+I27+I28</f>
        <v>0</v>
      </c>
      <c r="J29" s="3">
        <f t="shared" si="6"/>
        <v>0</v>
      </c>
    </row>
    <row r="31" ht="15">
      <c r="G31" s="1" t="s">
        <v>87</v>
      </c>
    </row>
    <row r="32" spans="6:7" ht="15">
      <c r="F32" t="s">
        <v>19</v>
      </c>
      <c r="G32">
        <v>0</v>
      </c>
    </row>
    <row r="33" spans="6:7" ht="15">
      <c r="F33" t="s">
        <v>20</v>
      </c>
      <c r="G33">
        <v>30</v>
      </c>
    </row>
    <row r="34" ht="15">
      <c r="G34">
        <f>+G32*G33</f>
        <v>0</v>
      </c>
    </row>
    <row r="37" spans="6:7" ht="15">
      <c r="F37" s="3"/>
      <c r="G37" s="3"/>
    </row>
  </sheetData>
  <mergeCells count="1">
    <mergeCell ref="B1:E1"/>
  </mergeCells>
  <printOptions/>
  <pageMargins left="0.7" right="0.7" top="0.75" bottom="0.75" header="0.3" footer="0.3"/>
  <pageSetup horizontalDpi="300" verticalDpi="300" orientation="portrait" paperSize="20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8"/>
  <sheetViews>
    <sheetView workbookViewId="0" topLeftCell="B1">
      <selection activeCell="I46" sqref="I46"/>
    </sheetView>
  </sheetViews>
  <sheetFormatPr defaultColWidth="11.421875" defaultRowHeight="15"/>
  <cols>
    <col min="3" max="3" width="12.28125" style="0" bestFit="1" customWidth="1"/>
    <col min="4" max="4" width="13.7109375" style="0" customWidth="1"/>
    <col min="5" max="5" width="9.7109375" style="0" bestFit="1" customWidth="1"/>
    <col min="6" max="6" width="6.57421875" style="0" customWidth="1"/>
    <col min="7" max="7" width="13.00390625" style="0" bestFit="1" customWidth="1"/>
    <col min="8" max="8" width="12.421875" style="0" bestFit="1" customWidth="1"/>
    <col min="9" max="9" width="19.57421875" style="0" customWidth="1"/>
    <col min="10" max="10" width="11.7109375" style="0" bestFit="1" customWidth="1"/>
    <col min="11" max="11" width="8.00390625" style="0" bestFit="1" customWidth="1"/>
    <col min="12" max="12" width="9.7109375" style="0" bestFit="1" customWidth="1"/>
    <col min="13" max="13" width="10.57421875" style="0" bestFit="1" customWidth="1"/>
  </cols>
  <sheetData>
    <row r="2" spans="2:15" s="1" customFormat="1" ht="15">
      <c r="B2" s="1" t="s">
        <v>24</v>
      </c>
      <c r="C2" s="1" t="s">
        <v>23</v>
      </c>
      <c r="D2" s="1" t="s">
        <v>26</v>
      </c>
      <c r="E2" s="1" t="s">
        <v>3</v>
      </c>
      <c r="F2" s="1" t="s">
        <v>21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78</v>
      </c>
      <c r="O2" s="1" t="s">
        <v>81</v>
      </c>
    </row>
    <row r="3" spans="2:9" ht="15">
      <c r="B3">
        <v>1</v>
      </c>
      <c r="C3" t="s">
        <v>25</v>
      </c>
      <c r="D3">
        <v>500</v>
      </c>
      <c r="E3" t="s">
        <v>11</v>
      </c>
      <c r="F3" t="s">
        <v>22</v>
      </c>
      <c r="G3" t="s">
        <v>62</v>
      </c>
      <c r="H3" t="s">
        <v>113</v>
      </c>
      <c r="I3" t="s">
        <v>63</v>
      </c>
    </row>
    <row r="4" spans="2:9" ht="15">
      <c r="B4">
        <v>2</v>
      </c>
      <c r="C4" t="s">
        <v>25</v>
      </c>
      <c r="D4">
        <v>500</v>
      </c>
      <c r="E4" t="s">
        <v>12</v>
      </c>
      <c r="F4" t="s">
        <v>22</v>
      </c>
      <c r="G4" t="s">
        <v>72</v>
      </c>
      <c r="H4" t="s">
        <v>28</v>
      </c>
      <c r="I4" s="17"/>
    </row>
    <row r="5" spans="2:9" ht="15">
      <c r="B5">
        <v>3</v>
      </c>
      <c r="C5" t="s">
        <v>25</v>
      </c>
      <c r="D5">
        <v>500</v>
      </c>
      <c r="E5" t="s">
        <v>66</v>
      </c>
      <c r="F5" t="s">
        <v>22</v>
      </c>
      <c r="G5" s="17" t="s">
        <v>72</v>
      </c>
      <c r="H5" s="17" t="s">
        <v>28</v>
      </c>
      <c r="I5" s="17"/>
    </row>
    <row r="6" spans="2:9" ht="15">
      <c r="B6">
        <v>4</v>
      </c>
      <c r="C6" s="17" t="s">
        <v>25</v>
      </c>
      <c r="D6">
        <v>500</v>
      </c>
      <c r="E6" t="s">
        <v>67</v>
      </c>
      <c r="F6" t="s">
        <v>22</v>
      </c>
      <c r="G6" t="s">
        <v>72</v>
      </c>
      <c r="H6" t="s">
        <v>28</v>
      </c>
      <c r="I6" s="15"/>
    </row>
    <row r="7" spans="2:12" ht="20.25" customHeight="1">
      <c r="B7" s="17">
        <v>5</v>
      </c>
      <c r="C7" s="17" t="s">
        <v>25</v>
      </c>
      <c r="D7">
        <v>500</v>
      </c>
      <c r="E7" t="s">
        <v>68</v>
      </c>
      <c r="F7" t="s">
        <v>22</v>
      </c>
      <c r="G7" s="17" t="s">
        <v>99</v>
      </c>
      <c r="H7" s="17" t="s">
        <v>73</v>
      </c>
      <c r="I7" s="17" t="s">
        <v>100</v>
      </c>
      <c r="J7" s="17"/>
      <c r="L7" s="17"/>
    </row>
    <row r="8" spans="2:12" ht="15">
      <c r="B8" s="17">
        <v>6</v>
      </c>
      <c r="C8" s="17" t="s">
        <v>25</v>
      </c>
      <c r="D8" s="17">
        <v>500</v>
      </c>
      <c r="E8" t="s">
        <v>13</v>
      </c>
      <c r="F8" t="s">
        <v>22</v>
      </c>
      <c r="G8" t="s">
        <v>72</v>
      </c>
      <c r="H8" t="s">
        <v>28</v>
      </c>
      <c r="I8" s="17"/>
      <c r="J8" s="17"/>
      <c r="L8" s="17"/>
    </row>
    <row r="9" spans="2:8" s="17" customFormat="1" ht="15">
      <c r="B9" s="17">
        <v>7</v>
      </c>
      <c r="C9" s="17" t="s">
        <v>126</v>
      </c>
      <c r="D9" s="17">
        <v>400</v>
      </c>
      <c r="E9" s="17" t="s">
        <v>14</v>
      </c>
      <c r="F9" s="17" t="s">
        <v>22</v>
      </c>
      <c r="G9" s="17" t="s">
        <v>72</v>
      </c>
      <c r="H9" s="17" t="s">
        <v>28</v>
      </c>
    </row>
    <row r="10" spans="2:8" s="17" customFormat="1" ht="15">
      <c r="B10" s="17">
        <v>8</v>
      </c>
      <c r="C10" s="17" t="s">
        <v>25</v>
      </c>
      <c r="D10" s="17">
        <v>500</v>
      </c>
      <c r="E10" s="17" t="s">
        <v>98</v>
      </c>
      <c r="F10" s="17" t="s">
        <v>22</v>
      </c>
      <c r="G10" s="17" t="s">
        <v>72</v>
      </c>
      <c r="H10" s="17" t="s">
        <v>28</v>
      </c>
    </row>
    <row r="11" spans="2:9" s="17" customFormat="1" ht="15">
      <c r="B11" s="17">
        <v>9</v>
      </c>
      <c r="C11" s="17" t="s">
        <v>25</v>
      </c>
      <c r="D11" s="17">
        <v>500</v>
      </c>
      <c r="E11" s="17" t="s">
        <v>105</v>
      </c>
      <c r="F11" s="17" t="s">
        <v>22</v>
      </c>
      <c r="G11" s="17" t="s">
        <v>88</v>
      </c>
      <c r="H11" s="17" t="s">
        <v>28</v>
      </c>
      <c r="I11" s="17" t="s">
        <v>63</v>
      </c>
    </row>
    <row r="12" spans="2:9" s="17" customFormat="1" ht="15">
      <c r="B12" s="17">
        <v>10</v>
      </c>
      <c r="C12" s="17" t="s">
        <v>25</v>
      </c>
      <c r="D12" s="17">
        <v>500</v>
      </c>
      <c r="E12" s="17" t="s">
        <v>106</v>
      </c>
      <c r="F12" s="17" t="s">
        <v>22</v>
      </c>
      <c r="G12" s="17" t="s">
        <v>88</v>
      </c>
      <c r="H12" s="17" t="s">
        <v>28</v>
      </c>
      <c r="I12" s="17" t="s">
        <v>63</v>
      </c>
    </row>
    <row r="13" spans="2:9" s="17" customFormat="1" ht="15">
      <c r="B13" s="17">
        <v>11</v>
      </c>
      <c r="C13" s="17" t="s">
        <v>107</v>
      </c>
      <c r="D13" s="17">
        <v>400</v>
      </c>
      <c r="E13" s="17" t="s">
        <v>108</v>
      </c>
      <c r="F13" s="17" t="s">
        <v>110</v>
      </c>
      <c r="G13" s="17" t="s">
        <v>62</v>
      </c>
      <c r="H13" s="17" t="s">
        <v>30</v>
      </c>
      <c r="I13" s="17" t="s">
        <v>63</v>
      </c>
    </row>
    <row r="14" spans="2:9" s="17" customFormat="1" ht="15">
      <c r="B14" s="17">
        <v>12</v>
      </c>
      <c r="C14" s="17" t="s">
        <v>107</v>
      </c>
      <c r="D14" s="17">
        <v>400</v>
      </c>
      <c r="E14" s="17" t="s">
        <v>109</v>
      </c>
      <c r="F14" s="17" t="s">
        <v>22</v>
      </c>
      <c r="H14" s="17" t="s">
        <v>114</v>
      </c>
      <c r="I14" s="17" t="s">
        <v>64</v>
      </c>
    </row>
    <row r="15" spans="2:9" s="17" customFormat="1" ht="15">
      <c r="B15" s="17">
        <v>13</v>
      </c>
      <c r="C15" s="17" t="s">
        <v>111</v>
      </c>
      <c r="D15" s="17">
        <v>350</v>
      </c>
      <c r="E15" s="17" t="s">
        <v>112</v>
      </c>
      <c r="F15" s="17" t="s">
        <v>110</v>
      </c>
      <c r="H15" s="17" t="s">
        <v>125</v>
      </c>
      <c r="I15" s="17" t="s">
        <v>115</v>
      </c>
    </row>
    <row r="16" spans="1:9" s="17" customFormat="1" ht="15">
      <c r="A16" s="25"/>
      <c r="B16" s="17">
        <v>14</v>
      </c>
      <c r="C16" s="17" t="s">
        <v>25</v>
      </c>
      <c r="D16" s="17">
        <v>500</v>
      </c>
      <c r="E16" s="17" t="s">
        <v>11</v>
      </c>
      <c r="F16" s="17" t="s">
        <v>117</v>
      </c>
      <c r="G16" s="17" t="s">
        <v>62</v>
      </c>
      <c r="H16" s="17" t="s">
        <v>30</v>
      </c>
      <c r="I16" s="17" t="s">
        <v>63</v>
      </c>
    </row>
    <row r="17" spans="2:15" s="17" customFormat="1" ht="15">
      <c r="B17" s="17">
        <v>15</v>
      </c>
      <c r="C17" s="17" t="s">
        <v>25</v>
      </c>
      <c r="D17" s="17">
        <v>500</v>
      </c>
      <c r="E17" s="17" t="s">
        <v>12</v>
      </c>
      <c r="F17" s="17" t="s">
        <v>117</v>
      </c>
      <c r="G17" s="17" t="s">
        <v>72</v>
      </c>
      <c r="H17" s="17" t="s">
        <v>28</v>
      </c>
      <c r="J17" s="17" t="s">
        <v>118</v>
      </c>
      <c r="K17" s="17" t="s">
        <v>121</v>
      </c>
      <c r="L17" s="17" t="s">
        <v>90</v>
      </c>
      <c r="M17" s="17">
        <v>1</v>
      </c>
      <c r="N17" s="17">
        <v>1</v>
      </c>
      <c r="O17" s="17">
        <v>1</v>
      </c>
    </row>
    <row r="18" spans="2:9" s="17" customFormat="1" ht="15">
      <c r="B18" s="17">
        <v>16</v>
      </c>
      <c r="C18" s="17" t="s">
        <v>25</v>
      </c>
      <c r="D18" s="17">
        <v>500</v>
      </c>
      <c r="E18" s="17" t="s">
        <v>66</v>
      </c>
      <c r="F18" s="17" t="s">
        <v>117</v>
      </c>
      <c r="G18" s="17" t="s">
        <v>88</v>
      </c>
      <c r="H18" s="17" t="s">
        <v>28</v>
      </c>
      <c r="I18" s="17" t="s">
        <v>63</v>
      </c>
    </row>
    <row r="19" spans="2:8" s="17" customFormat="1" ht="15">
      <c r="B19" s="17">
        <v>17</v>
      </c>
      <c r="C19" s="17" t="s">
        <v>25</v>
      </c>
      <c r="D19" s="17">
        <v>500</v>
      </c>
      <c r="E19" s="17" t="s">
        <v>67</v>
      </c>
      <c r="F19" s="17" t="s">
        <v>117</v>
      </c>
      <c r="G19" s="17" t="s">
        <v>72</v>
      </c>
      <c r="H19" s="17" t="s">
        <v>28</v>
      </c>
    </row>
    <row r="20" spans="2:15" s="17" customFormat="1" ht="15">
      <c r="B20" s="17">
        <v>18</v>
      </c>
      <c r="C20" s="17" t="s">
        <v>25</v>
      </c>
      <c r="D20" s="17">
        <v>500</v>
      </c>
      <c r="E20" s="17" t="s">
        <v>68</v>
      </c>
      <c r="F20" s="17" t="s">
        <v>117</v>
      </c>
      <c r="G20" s="17" t="s">
        <v>72</v>
      </c>
      <c r="H20" s="17" t="s">
        <v>73</v>
      </c>
      <c r="I20" s="17" t="s">
        <v>64</v>
      </c>
      <c r="L20" s="17" t="s">
        <v>90</v>
      </c>
      <c r="M20" s="17">
        <v>1</v>
      </c>
      <c r="N20" s="17">
        <v>1</v>
      </c>
      <c r="O20" s="17">
        <v>1</v>
      </c>
    </row>
    <row r="21" spans="2:15" s="17" customFormat="1" ht="15">
      <c r="B21" s="17">
        <v>19</v>
      </c>
      <c r="C21" s="17" t="s">
        <v>25</v>
      </c>
      <c r="D21" s="17">
        <v>500</v>
      </c>
      <c r="E21" s="17" t="s">
        <v>13</v>
      </c>
      <c r="F21" s="17" t="s">
        <v>117</v>
      </c>
      <c r="G21" s="17" t="s">
        <v>62</v>
      </c>
      <c r="H21" s="17" t="s">
        <v>28</v>
      </c>
      <c r="I21" s="17" t="s">
        <v>63</v>
      </c>
      <c r="J21" s="17" t="s">
        <v>118</v>
      </c>
      <c r="K21" s="17" t="s">
        <v>121</v>
      </c>
      <c r="L21" s="17" t="s">
        <v>90</v>
      </c>
      <c r="M21" s="17">
        <v>1</v>
      </c>
      <c r="N21" s="17">
        <v>1</v>
      </c>
      <c r="O21" s="17">
        <v>1</v>
      </c>
    </row>
    <row r="22" spans="2:15" s="17" customFormat="1" ht="15">
      <c r="B22" s="17">
        <v>20</v>
      </c>
      <c r="C22" s="17" t="s">
        <v>25</v>
      </c>
      <c r="D22" s="17">
        <v>500</v>
      </c>
      <c r="E22" s="17" t="s">
        <v>14</v>
      </c>
      <c r="F22" s="17" t="s">
        <v>117</v>
      </c>
      <c r="H22" s="17" t="s">
        <v>30</v>
      </c>
      <c r="I22" s="17" t="s">
        <v>64</v>
      </c>
      <c r="L22" s="17" t="s">
        <v>90</v>
      </c>
      <c r="M22" s="17">
        <v>1</v>
      </c>
      <c r="N22" s="17">
        <v>1</v>
      </c>
      <c r="O22" s="17">
        <v>1</v>
      </c>
    </row>
    <row r="23" spans="2:10" s="17" customFormat="1" ht="15">
      <c r="B23" s="17">
        <v>21</v>
      </c>
      <c r="C23" s="17" t="s">
        <v>107</v>
      </c>
      <c r="D23" s="17">
        <v>400</v>
      </c>
      <c r="E23" s="17" t="s">
        <v>116</v>
      </c>
      <c r="F23" s="17" t="s">
        <v>110</v>
      </c>
      <c r="G23" s="17" t="s">
        <v>62</v>
      </c>
      <c r="H23" s="17" t="s">
        <v>30</v>
      </c>
      <c r="J23" s="17" t="s">
        <v>119</v>
      </c>
    </row>
    <row r="24" spans="1:10" s="17" customFormat="1" ht="15">
      <c r="A24" s="25"/>
      <c r="B24" s="17">
        <v>22</v>
      </c>
      <c r="C24" s="17" t="s">
        <v>25</v>
      </c>
      <c r="D24" s="17">
        <v>500</v>
      </c>
      <c r="E24" s="17" t="s">
        <v>11</v>
      </c>
      <c r="F24" s="17" t="s">
        <v>117</v>
      </c>
      <c r="G24" s="17" t="s">
        <v>120</v>
      </c>
      <c r="H24" s="17" t="s">
        <v>28</v>
      </c>
      <c r="I24" s="17" t="s">
        <v>63</v>
      </c>
      <c r="J24" s="17" t="s">
        <v>118</v>
      </c>
    </row>
    <row r="25" spans="2:9" s="17" customFormat="1" ht="15">
      <c r="B25" s="17">
        <v>23</v>
      </c>
      <c r="C25" s="17" t="s">
        <v>25</v>
      </c>
      <c r="D25" s="17">
        <v>500</v>
      </c>
      <c r="E25" s="17" t="s">
        <v>12</v>
      </c>
      <c r="F25" s="17" t="s">
        <v>117</v>
      </c>
      <c r="G25" s="17" t="s">
        <v>99</v>
      </c>
      <c r="H25" s="17" t="s">
        <v>73</v>
      </c>
      <c r="I25" s="17" t="s">
        <v>100</v>
      </c>
    </row>
    <row r="26" spans="2:8" s="17" customFormat="1" ht="15">
      <c r="B26" s="17">
        <v>24</v>
      </c>
      <c r="C26" s="17" t="s">
        <v>25</v>
      </c>
      <c r="D26" s="17">
        <v>500</v>
      </c>
      <c r="E26" s="17" t="s">
        <v>66</v>
      </c>
      <c r="F26" s="17" t="s">
        <v>117</v>
      </c>
      <c r="G26" s="17" t="s">
        <v>72</v>
      </c>
      <c r="H26" s="17" t="s">
        <v>28</v>
      </c>
    </row>
    <row r="27" spans="2:15" s="17" customFormat="1" ht="15">
      <c r="B27" s="17">
        <v>25</v>
      </c>
      <c r="C27" s="17" t="s">
        <v>25</v>
      </c>
      <c r="D27" s="17">
        <v>500</v>
      </c>
      <c r="E27" s="17" t="s">
        <v>67</v>
      </c>
      <c r="F27" s="17" t="s">
        <v>117</v>
      </c>
      <c r="G27" s="17" t="s">
        <v>62</v>
      </c>
      <c r="H27" s="17" t="s">
        <v>30</v>
      </c>
      <c r="I27" s="17" t="s">
        <v>63</v>
      </c>
      <c r="J27" s="17" t="s">
        <v>118</v>
      </c>
      <c r="K27" s="17" t="s">
        <v>121</v>
      </c>
      <c r="L27" s="17" t="s">
        <v>90</v>
      </c>
      <c r="M27" s="17">
        <v>1</v>
      </c>
      <c r="N27" s="17">
        <v>1</v>
      </c>
      <c r="O27" s="17">
        <v>1</v>
      </c>
    </row>
    <row r="28" spans="1:10" s="17" customFormat="1" ht="15">
      <c r="A28" s="25"/>
      <c r="B28" s="17">
        <v>26</v>
      </c>
      <c r="C28" s="17" t="s">
        <v>107</v>
      </c>
      <c r="D28" s="17">
        <v>400</v>
      </c>
      <c r="E28" s="17" t="s">
        <v>124</v>
      </c>
      <c r="F28" s="17" t="s">
        <v>110</v>
      </c>
      <c r="G28" s="17" t="s">
        <v>62</v>
      </c>
      <c r="H28" s="17" t="s">
        <v>30</v>
      </c>
      <c r="I28" s="17" t="s">
        <v>63</v>
      </c>
      <c r="J28" s="17" t="s">
        <v>118</v>
      </c>
    </row>
    <row r="29" spans="2:8" s="17" customFormat="1" ht="15">
      <c r="B29" s="17">
        <v>27</v>
      </c>
      <c r="C29" s="17" t="s">
        <v>25</v>
      </c>
      <c r="D29" s="17">
        <v>500</v>
      </c>
      <c r="E29" s="17" t="s">
        <v>12</v>
      </c>
      <c r="F29" s="17" t="s">
        <v>117</v>
      </c>
      <c r="G29" s="17" t="s">
        <v>72</v>
      </c>
      <c r="H29" s="17" t="s">
        <v>28</v>
      </c>
    </row>
    <row r="30" spans="2:8" s="17" customFormat="1" ht="15">
      <c r="B30" s="17">
        <v>28</v>
      </c>
      <c r="C30" s="17" t="s">
        <v>25</v>
      </c>
      <c r="D30" s="17">
        <v>500</v>
      </c>
      <c r="E30" s="17" t="s">
        <v>66</v>
      </c>
      <c r="F30" s="17" t="s">
        <v>117</v>
      </c>
      <c r="G30" s="17" t="s">
        <v>72</v>
      </c>
      <c r="H30" s="17" t="s">
        <v>28</v>
      </c>
    </row>
    <row r="31" spans="2:15" s="17" customFormat="1" ht="15">
      <c r="B31" s="17">
        <v>29</v>
      </c>
      <c r="C31" s="17" t="s">
        <v>25</v>
      </c>
      <c r="D31" s="17">
        <v>500</v>
      </c>
      <c r="E31" s="17" t="s">
        <v>67</v>
      </c>
      <c r="F31" s="17" t="s">
        <v>117</v>
      </c>
      <c r="G31" s="17" t="s">
        <v>62</v>
      </c>
      <c r="H31" s="17" t="s">
        <v>30</v>
      </c>
      <c r="I31" s="17" t="s">
        <v>63</v>
      </c>
      <c r="J31" s="17" t="s">
        <v>118</v>
      </c>
      <c r="K31" s="17" t="s">
        <v>121</v>
      </c>
      <c r="L31" s="17" t="s">
        <v>90</v>
      </c>
      <c r="M31" s="17">
        <v>1</v>
      </c>
      <c r="N31" s="17">
        <v>1</v>
      </c>
      <c r="O31" s="17">
        <v>1</v>
      </c>
    </row>
    <row r="32" spans="4:13" ht="15">
      <c r="D32" s="35" t="s">
        <v>33</v>
      </c>
      <c r="E32" s="35"/>
      <c r="F32" s="35"/>
      <c r="G32" s="35"/>
      <c r="H32" s="35"/>
      <c r="I32" s="35"/>
      <c r="J32" s="35"/>
      <c r="K32" s="35"/>
      <c r="L32" s="35"/>
      <c r="M32" s="35"/>
    </row>
    <row r="33" spans="4:13" s="1" customFormat="1" ht="15">
      <c r="D33" s="34" t="s">
        <v>34</v>
      </c>
      <c r="E33" s="34"/>
      <c r="F33" s="34"/>
      <c r="G33" s="4" t="s">
        <v>37</v>
      </c>
      <c r="H33" s="4" t="s">
        <v>38</v>
      </c>
      <c r="I33" s="5" t="s">
        <v>16</v>
      </c>
      <c r="J33" s="4"/>
      <c r="K33" s="4" t="s">
        <v>91</v>
      </c>
      <c r="L33" s="4"/>
      <c r="M33" s="4"/>
    </row>
    <row r="34" spans="4:11" ht="15">
      <c r="D34" s="35" t="s">
        <v>35</v>
      </c>
      <c r="E34" s="35"/>
      <c r="F34" s="35"/>
      <c r="G34">
        <f>+COUNTIF(C3:C31,"12m")</f>
        <v>23</v>
      </c>
      <c r="I34" s="5">
        <f>SUM(G34:H34)</f>
        <v>23</v>
      </c>
      <c r="K34">
        <f>+I34+I35+I45+I46+I47+I48+I49+I50</f>
        <v>46</v>
      </c>
    </row>
    <row r="35" spans="4:9" ht="15">
      <c r="D35" s="35" t="s">
        <v>36</v>
      </c>
      <c r="E35" s="35"/>
      <c r="F35" s="35"/>
      <c r="G35">
        <f>+COUNTIF(C3:C31,"10m")</f>
        <v>1</v>
      </c>
      <c r="I35" s="5">
        <f aca="true" t="shared" si="0" ref="I35:I54">SUM(G35:H35)</f>
        <v>1</v>
      </c>
    </row>
    <row r="36" spans="4:9" ht="15">
      <c r="D36" s="35" t="s">
        <v>62</v>
      </c>
      <c r="E36" s="35"/>
      <c r="F36" s="35"/>
      <c r="G36">
        <f>+COUNTIF($G$3:$G$31,"1CRT")</f>
        <v>8</v>
      </c>
      <c r="H36">
        <v>1</v>
      </c>
      <c r="I36" s="5">
        <f t="shared" si="0"/>
        <v>9</v>
      </c>
    </row>
    <row r="37" spans="4:9" s="17" customFormat="1" ht="15">
      <c r="D37" s="35" t="s">
        <v>99</v>
      </c>
      <c r="E37" s="35"/>
      <c r="F37" s="35"/>
      <c r="G37" s="17">
        <f>+COUNTIF($G$3:$G$31,"1CDT")</f>
        <v>2</v>
      </c>
      <c r="I37" s="5">
        <f aca="true" t="shared" si="1" ref="I37">SUM(G37:H37)</f>
        <v>2</v>
      </c>
    </row>
    <row r="38" spans="4:9" ht="15">
      <c r="D38" s="35" t="s">
        <v>72</v>
      </c>
      <c r="E38" s="35"/>
      <c r="F38" s="35"/>
      <c r="G38">
        <f>+COUNTIF($G$3:$G$31,"1CPT")</f>
        <v>12</v>
      </c>
      <c r="H38">
        <v>1</v>
      </c>
      <c r="I38" s="5">
        <f t="shared" si="0"/>
        <v>13</v>
      </c>
    </row>
    <row r="39" spans="4:9" s="17" customFormat="1" ht="15">
      <c r="D39" s="35" t="s">
        <v>88</v>
      </c>
      <c r="E39" s="35"/>
      <c r="F39" s="35"/>
      <c r="G39" s="17">
        <f>+COUNTIF($G$3:$G$31,"1CAT")</f>
        <v>3</v>
      </c>
      <c r="I39" s="5">
        <f t="shared" si="0"/>
        <v>3</v>
      </c>
    </row>
    <row r="40" spans="4:9" ht="15">
      <c r="D40" s="35" t="s">
        <v>28</v>
      </c>
      <c r="E40" s="35"/>
      <c r="F40" s="35"/>
      <c r="G40">
        <f>+COUNTIF($H$3:$H$31,"1EP")</f>
        <v>16</v>
      </c>
      <c r="H40">
        <v>3</v>
      </c>
      <c r="I40" s="5">
        <f t="shared" si="0"/>
        <v>19</v>
      </c>
    </row>
    <row r="41" spans="4:9" ht="15">
      <c r="D41" s="35" t="s">
        <v>30</v>
      </c>
      <c r="E41" s="35"/>
      <c r="F41" s="35"/>
      <c r="G41">
        <f>+COUNTIF($H$3:$H$31,"1Er")</f>
        <v>7</v>
      </c>
      <c r="H41">
        <v>3</v>
      </c>
      <c r="I41" s="5">
        <f t="shared" si="0"/>
        <v>10</v>
      </c>
    </row>
    <row r="42" spans="4:9" ht="15" hidden="1">
      <c r="D42" s="35" t="s">
        <v>27</v>
      </c>
      <c r="E42" s="35"/>
      <c r="F42" s="35"/>
      <c r="G42">
        <f>+COUNTIF($H$3:$H$31,"1EP+1er")</f>
        <v>0</v>
      </c>
      <c r="I42" s="5">
        <f t="shared" si="0"/>
        <v>0</v>
      </c>
    </row>
    <row r="43" spans="4:9" ht="15" hidden="1">
      <c r="D43" s="35" t="s">
        <v>65</v>
      </c>
      <c r="E43" s="35"/>
      <c r="F43" s="35"/>
      <c r="G43">
        <f>+COUNTIF($H$3:$H$31,"1PR3e+1ER")</f>
        <v>0</v>
      </c>
      <c r="I43" s="5">
        <f t="shared" si="0"/>
        <v>0</v>
      </c>
    </row>
    <row r="44" spans="4:9" ht="15">
      <c r="D44" s="35" t="s">
        <v>73</v>
      </c>
      <c r="E44" s="35"/>
      <c r="F44" s="35"/>
      <c r="G44">
        <f>+COUNTIF($H$3:$H$31,"1ED")</f>
        <v>3</v>
      </c>
      <c r="H44">
        <v>3</v>
      </c>
      <c r="I44" s="5">
        <f t="shared" si="0"/>
        <v>6</v>
      </c>
    </row>
    <row r="45" spans="4:9" ht="15">
      <c r="D45" s="35" t="s">
        <v>63</v>
      </c>
      <c r="E45" s="35"/>
      <c r="F45" s="35"/>
      <c r="G45">
        <f>+COUNTIF($I$3:$I$31,"TAT-0TS")</f>
        <v>11</v>
      </c>
      <c r="H45">
        <v>6</v>
      </c>
      <c r="I45" s="5">
        <f t="shared" si="0"/>
        <v>17</v>
      </c>
    </row>
    <row r="46" spans="4:9" ht="15">
      <c r="D46" s="35" t="s">
        <v>64</v>
      </c>
      <c r="E46" s="35"/>
      <c r="F46" s="35"/>
      <c r="G46">
        <f>+COUNTIF($I$3:$I$31,"TAD-0TS")</f>
        <v>3</v>
      </c>
      <c r="H46">
        <v>2</v>
      </c>
      <c r="I46" s="5">
        <f t="shared" si="0"/>
        <v>5</v>
      </c>
    </row>
    <row r="47" spans="4:9" ht="15">
      <c r="D47" s="35" t="s">
        <v>74</v>
      </c>
      <c r="E47" s="35"/>
      <c r="F47" s="35"/>
      <c r="G47">
        <f>+COUNTIF($I$3:$I$31,"TAT-0PD")</f>
        <v>0</v>
      </c>
      <c r="I47" s="5">
        <f t="shared" si="0"/>
        <v>0</v>
      </c>
    </row>
    <row r="48" spans="4:9" s="17" customFormat="1" ht="15">
      <c r="D48" s="35" t="s">
        <v>89</v>
      </c>
      <c r="E48" s="35"/>
      <c r="F48" s="35"/>
      <c r="G48" s="17">
        <f>+COUNTIF($I$3:$I$31,"TAT-0PS")</f>
        <v>0</v>
      </c>
      <c r="I48" s="5">
        <f t="shared" si="0"/>
        <v>0</v>
      </c>
    </row>
    <row r="49" spans="4:9" ht="15">
      <c r="D49" s="35" t="s">
        <v>75</v>
      </c>
      <c r="E49" s="35"/>
      <c r="F49" s="35"/>
      <c r="G49">
        <f>+COUNTIF($I$3:$I$31,"TAD-0FS")</f>
        <v>0</v>
      </c>
      <c r="I49" s="5">
        <f t="shared" si="0"/>
        <v>0</v>
      </c>
    </row>
    <row r="50" spans="4:9" ht="15">
      <c r="D50" s="35" t="s">
        <v>76</v>
      </c>
      <c r="E50" s="35"/>
      <c r="F50" s="35"/>
      <c r="G50">
        <f>+COUNTIF($I$3:$I$31,"TAT-0TD")</f>
        <v>0</v>
      </c>
      <c r="I50" s="5">
        <f t="shared" si="0"/>
        <v>0</v>
      </c>
    </row>
    <row r="51" spans="4:9" ht="15">
      <c r="D51" s="35" t="s">
        <v>55</v>
      </c>
      <c r="E51" s="35"/>
      <c r="F51" s="35"/>
      <c r="G51">
        <f>+COUNTIF($J$3:$J$31,"1 secc")</f>
        <v>6</v>
      </c>
      <c r="H51">
        <v>2</v>
      </c>
      <c r="I51" s="5">
        <f t="shared" si="0"/>
        <v>8</v>
      </c>
    </row>
    <row r="52" spans="4:9" ht="15">
      <c r="D52" s="35" t="s">
        <v>69</v>
      </c>
      <c r="E52" s="35"/>
      <c r="F52" s="35"/>
      <c r="G52">
        <f>+COUNTIF($K$3:$K$31,"25 kVA")</f>
        <v>0</v>
      </c>
      <c r="I52" s="5">
        <f t="shared" si="0"/>
        <v>0</v>
      </c>
    </row>
    <row r="53" spans="4:9" s="17" customFormat="1" ht="15">
      <c r="D53" s="35" t="s">
        <v>94</v>
      </c>
      <c r="E53" s="35"/>
      <c r="F53" s="35"/>
      <c r="G53" s="17">
        <f>+COUNTIF($K$3:$K$31,"10 kVA")</f>
        <v>4</v>
      </c>
      <c r="I53" s="5">
        <f aca="true" t="shared" si="2" ref="I53">SUM(G53:H53)</f>
        <v>4</v>
      </c>
    </row>
    <row r="54" spans="4:9" ht="15">
      <c r="D54" s="35" t="s">
        <v>90</v>
      </c>
      <c r="E54" s="35"/>
      <c r="F54" s="35"/>
      <c r="G54">
        <f>+COUNTIF($L$3:$L$31,"110W")</f>
        <v>6</v>
      </c>
      <c r="I54" s="5">
        <f t="shared" si="0"/>
        <v>6</v>
      </c>
    </row>
    <row r="55" spans="4:7" ht="15" hidden="1">
      <c r="D55" s="35" t="s">
        <v>29</v>
      </c>
      <c r="E55" s="35"/>
      <c r="F55" s="35"/>
      <c r="G55">
        <f>+COUNTIF($L$3:$L$31,"2(110W)")</f>
        <v>0</v>
      </c>
    </row>
    <row r="56" spans="4:9" ht="15">
      <c r="D56" s="35" t="s">
        <v>79</v>
      </c>
      <c r="E56" s="35"/>
      <c r="F56" s="35"/>
      <c r="G56">
        <f>+SUM(N3:N31)</f>
        <v>6</v>
      </c>
      <c r="I56" s="5">
        <f>+G56+H56</f>
        <v>6</v>
      </c>
    </row>
    <row r="57" spans="4:9" ht="15">
      <c r="D57" s="35" t="s">
        <v>80</v>
      </c>
      <c r="E57" s="35"/>
      <c r="F57" s="35"/>
      <c r="G57">
        <f>+SUM(M3:M31)</f>
        <v>6</v>
      </c>
      <c r="I57" s="5">
        <f aca="true" t="shared" si="3" ref="I57:I58">SUM(G57:H57)</f>
        <v>6</v>
      </c>
    </row>
    <row r="58" spans="4:9" ht="15">
      <c r="D58" s="35" t="s">
        <v>82</v>
      </c>
      <c r="E58" s="35"/>
      <c r="F58" s="35"/>
      <c r="G58">
        <f>+SUM(O3:O31)</f>
        <v>6</v>
      </c>
      <c r="I58" s="5">
        <f t="shared" si="3"/>
        <v>6</v>
      </c>
    </row>
  </sheetData>
  <mergeCells count="27">
    <mergeCell ref="D38:F38"/>
    <mergeCell ref="D44:F44"/>
    <mergeCell ref="D36:F36"/>
    <mergeCell ref="D32:M32"/>
    <mergeCell ref="D34:F34"/>
    <mergeCell ref="D33:F33"/>
    <mergeCell ref="D35:F35"/>
    <mergeCell ref="D39:F39"/>
    <mergeCell ref="D37:F37"/>
    <mergeCell ref="D45:F45"/>
    <mergeCell ref="D46:F46"/>
    <mergeCell ref="D51:F51"/>
    <mergeCell ref="D40:F40"/>
    <mergeCell ref="D41:F41"/>
    <mergeCell ref="D42:F42"/>
    <mergeCell ref="D43:F43"/>
    <mergeCell ref="D47:F47"/>
    <mergeCell ref="D49:F49"/>
    <mergeCell ref="D50:F50"/>
    <mergeCell ref="D48:F48"/>
    <mergeCell ref="D56:F56"/>
    <mergeCell ref="D57:F57"/>
    <mergeCell ref="D58:F58"/>
    <mergeCell ref="D52:F52"/>
    <mergeCell ref="D54:F54"/>
    <mergeCell ref="D55:F55"/>
    <mergeCell ref="D53:F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48"/>
  <sheetViews>
    <sheetView tabSelected="1" view="pageBreakPreview" zoomScale="85" zoomScaleSheetLayoutView="85" workbookViewId="0" topLeftCell="A7">
      <selection activeCell="C18" sqref="C18"/>
    </sheetView>
  </sheetViews>
  <sheetFormatPr defaultColWidth="11.421875" defaultRowHeight="15"/>
  <cols>
    <col min="1" max="1" width="16.57421875" style="0" customWidth="1"/>
    <col min="3" max="3" width="106.00390625" style="0" customWidth="1"/>
    <col min="4" max="4" width="9.421875" style="0" customWidth="1"/>
    <col min="5" max="5" width="9.57421875" style="0" customWidth="1"/>
    <col min="6" max="6" width="14.57421875" style="0" bestFit="1" customWidth="1"/>
    <col min="7" max="7" width="16.00390625" style="0" bestFit="1" customWidth="1"/>
    <col min="8" max="8" width="19.57421875" style="0" bestFit="1" customWidth="1"/>
    <col min="9" max="9" width="18.57421875" style="0" customWidth="1"/>
  </cols>
  <sheetData>
    <row r="3" spans="2:13" ht="15">
      <c r="B3" s="34" t="s">
        <v>128</v>
      </c>
      <c r="C3" s="34"/>
      <c r="D3" s="34"/>
      <c r="E3" s="34"/>
      <c r="F3" s="34"/>
      <c r="G3" s="34"/>
      <c r="H3" s="34"/>
      <c r="I3" s="34"/>
      <c r="J3" s="6"/>
      <c r="K3" s="6"/>
      <c r="L3" s="6"/>
      <c r="M3" s="6"/>
    </row>
    <row r="4" ht="15.75">
      <c r="B4" s="33" t="s">
        <v>132</v>
      </c>
    </row>
    <row r="5" spans="2:9" ht="15">
      <c r="B5" s="7" t="s">
        <v>41</v>
      </c>
      <c r="C5" s="7" t="s">
        <v>34</v>
      </c>
      <c r="D5" s="7" t="s">
        <v>46</v>
      </c>
      <c r="E5" s="7" t="s">
        <v>44</v>
      </c>
      <c r="F5" s="7" t="s">
        <v>47</v>
      </c>
      <c r="G5" s="7" t="s">
        <v>48</v>
      </c>
      <c r="H5" s="7" t="s">
        <v>42</v>
      </c>
      <c r="I5" s="7" t="s">
        <v>49</v>
      </c>
    </row>
    <row r="6" spans="2:10" ht="15">
      <c r="B6" s="8">
        <v>1</v>
      </c>
      <c r="C6" s="8" t="s">
        <v>43</v>
      </c>
      <c r="D6" s="8" t="s">
        <v>45</v>
      </c>
      <c r="E6" s="9">
        <f>+CONDUCTOR!E29</f>
        <v>3936.17</v>
      </c>
      <c r="F6" s="19">
        <v>0.85</v>
      </c>
      <c r="G6" s="20">
        <f>+E6*F6</f>
        <v>3345.7445</v>
      </c>
      <c r="H6" s="8">
        <v>0.97</v>
      </c>
      <c r="I6" s="9">
        <f>+H6*E6</f>
        <v>3818.0849</v>
      </c>
      <c r="J6" s="28">
        <f>+E6/2</f>
        <v>1968.085</v>
      </c>
    </row>
    <row r="7" spans="2:9" ht="15">
      <c r="B7" s="8">
        <v>2</v>
      </c>
      <c r="C7" s="8" t="s">
        <v>97</v>
      </c>
      <c r="D7" s="8" t="s">
        <v>45</v>
      </c>
      <c r="E7" s="9">
        <f>+CONDUCTOR!F29</f>
        <v>124.845</v>
      </c>
      <c r="F7" s="19">
        <v>4.38</v>
      </c>
      <c r="G7" s="20">
        <f aca="true" t="shared" si="0" ref="G7:G27">+E7*F7</f>
        <v>546.8211</v>
      </c>
      <c r="H7" s="8">
        <v>1.54</v>
      </c>
      <c r="I7" s="9">
        <f aca="true" t="shared" si="1" ref="I7:I27">+H7*E7</f>
        <v>192.2613</v>
      </c>
    </row>
    <row r="8" spans="2:9" ht="15">
      <c r="B8" s="8">
        <v>3</v>
      </c>
      <c r="C8" s="8" t="s">
        <v>50</v>
      </c>
      <c r="D8" s="8" t="s">
        <v>52</v>
      </c>
      <c r="E8" s="8">
        <f>+ESTRUCTURAS!I34</f>
        <v>23</v>
      </c>
      <c r="F8" s="19">
        <v>875.75</v>
      </c>
      <c r="G8" s="20">
        <f t="shared" si="0"/>
        <v>20142.25</v>
      </c>
      <c r="H8" s="8">
        <v>122.9</v>
      </c>
      <c r="I8" s="9">
        <f t="shared" si="1"/>
        <v>2826.7000000000003</v>
      </c>
    </row>
    <row r="9" spans="2:9" ht="15">
      <c r="B9" s="8">
        <v>4</v>
      </c>
      <c r="C9" s="8" t="s">
        <v>51</v>
      </c>
      <c r="D9" s="8" t="s">
        <v>52</v>
      </c>
      <c r="E9" s="8">
        <f>+ESTRUCTURAS!I35</f>
        <v>1</v>
      </c>
      <c r="F9" s="19">
        <v>740.15</v>
      </c>
      <c r="G9" s="20">
        <f t="shared" si="0"/>
        <v>740.15</v>
      </c>
      <c r="H9" s="8">
        <v>122.9</v>
      </c>
      <c r="I9" s="9">
        <f t="shared" si="1"/>
        <v>122.9</v>
      </c>
    </row>
    <row r="10" spans="2:9" s="13" customFormat="1" ht="15">
      <c r="B10" s="18">
        <v>7</v>
      </c>
      <c r="C10" s="11" t="s">
        <v>70</v>
      </c>
      <c r="D10" s="11" t="s">
        <v>52</v>
      </c>
      <c r="E10" s="11">
        <f>+ESTRUCTURAS!I36</f>
        <v>9</v>
      </c>
      <c r="F10" s="21">
        <v>47.16</v>
      </c>
      <c r="G10" s="22">
        <f t="shared" si="0"/>
        <v>424.43999999999994</v>
      </c>
      <c r="H10" s="11">
        <v>27.08</v>
      </c>
      <c r="I10" s="12">
        <f t="shared" si="1"/>
        <v>243.71999999999997</v>
      </c>
    </row>
    <row r="11" spans="2:9" s="13" customFormat="1" ht="15">
      <c r="B11" s="18">
        <v>8</v>
      </c>
      <c r="C11" s="11" t="s">
        <v>92</v>
      </c>
      <c r="D11" s="11" t="s">
        <v>52</v>
      </c>
      <c r="E11" s="11">
        <f>+ESTRUCTURAS!I39</f>
        <v>3</v>
      </c>
      <c r="F11" s="21">
        <v>41.12</v>
      </c>
      <c r="G11" s="22">
        <f t="shared" si="0"/>
        <v>123.35999999999999</v>
      </c>
      <c r="H11" s="12">
        <v>27.075</v>
      </c>
      <c r="I11" s="12">
        <f t="shared" si="1"/>
        <v>81.225</v>
      </c>
    </row>
    <row r="12" spans="2:9" s="13" customFormat="1" ht="15">
      <c r="B12" s="18">
        <v>9</v>
      </c>
      <c r="C12" s="11" t="s">
        <v>101</v>
      </c>
      <c r="D12" s="11" t="s">
        <v>52</v>
      </c>
      <c r="E12" s="11">
        <f>+ESTRUCTURAS!I37</f>
        <v>2</v>
      </c>
      <c r="F12" s="21">
        <v>116.95</v>
      </c>
      <c r="G12" s="22">
        <f t="shared" si="0"/>
        <v>233.9</v>
      </c>
      <c r="H12" s="11">
        <v>54.15</v>
      </c>
      <c r="I12" s="12">
        <f t="shared" si="1"/>
        <v>108.3</v>
      </c>
    </row>
    <row r="13" spans="2:9" s="13" customFormat="1" ht="15">
      <c r="B13" s="18">
        <v>10</v>
      </c>
      <c r="C13" s="11" t="s">
        <v>102</v>
      </c>
      <c r="D13" s="11" t="s">
        <v>52</v>
      </c>
      <c r="E13" s="11">
        <f>+ESTRUCTURAS!I38</f>
        <v>13</v>
      </c>
      <c r="F13" s="21">
        <v>31.58</v>
      </c>
      <c r="G13" s="22">
        <f t="shared" si="0"/>
        <v>410.53999999999996</v>
      </c>
      <c r="H13" s="11">
        <v>21.66</v>
      </c>
      <c r="I13" s="12">
        <f t="shared" si="1"/>
        <v>281.58</v>
      </c>
    </row>
    <row r="14" spans="2:9" ht="15">
      <c r="B14" s="18">
        <v>11</v>
      </c>
      <c r="C14" s="8" t="s">
        <v>53</v>
      </c>
      <c r="D14" s="8" t="s">
        <v>52</v>
      </c>
      <c r="E14" s="8">
        <f>+ESTRUCTURAS!I40</f>
        <v>19</v>
      </c>
      <c r="F14" s="19">
        <v>20.06</v>
      </c>
      <c r="G14" s="20">
        <f t="shared" si="0"/>
        <v>381.14</v>
      </c>
      <c r="H14" s="8">
        <v>16.83</v>
      </c>
      <c r="I14" s="9">
        <f t="shared" si="1"/>
        <v>319.77</v>
      </c>
    </row>
    <row r="15" spans="2:9" ht="15">
      <c r="B15" s="18">
        <v>12</v>
      </c>
      <c r="C15" s="8" t="s">
        <v>54</v>
      </c>
      <c r="D15" s="8" t="s">
        <v>52</v>
      </c>
      <c r="E15" s="8">
        <f>+ESTRUCTURAS!I41</f>
        <v>10</v>
      </c>
      <c r="F15" s="19">
        <v>14.93</v>
      </c>
      <c r="G15" s="20">
        <f t="shared" si="0"/>
        <v>149.3</v>
      </c>
      <c r="H15" s="8">
        <v>21.04</v>
      </c>
      <c r="I15" s="9">
        <f t="shared" si="1"/>
        <v>210.39999999999998</v>
      </c>
    </row>
    <row r="16" spans="2:9" ht="15">
      <c r="B16" s="18">
        <v>13</v>
      </c>
      <c r="C16" s="11" t="s">
        <v>77</v>
      </c>
      <c r="D16" s="8" t="s">
        <v>52</v>
      </c>
      <c r="E16" s="8">
        <f>+ESTRUCTURAS!I44</f>
        <v>6</v>
      </c>
      <c r="F16" s="19">
        <v>27.55</v>
      </c>
      <c r="G16" s="20">
        <f t="shared" si="0"/>
        <v>165.3</v>
      </c>
      <c r="H16" s="8">
        <v>42.08</v>
      </c>
      <c r="I16" s="9">
        <f t="shared" si="1"/>
        <v>252.48</v>
      </c>
    </row>
    <row r="17" spans="2:9" s="13" customFormat="1" ht="15">
      <c r="B17" s="18">
        <v>14</v>
      </c>
      <c r="C17" s="11" t="s">
        <v>135</v>
      </c>
      <c r="D17" s="11" t="s">
        <v>52</v>
      </c>
      <c r="E17" s="11">
        <f>+ESTRUCTURAS!I46</f>
        <v>5</v>
      </c>
      <c r="F17" s="21">
        <v>60.61</v>
      </c>
      <c r="G17" s="22">
        <f t="shared" si="0"/>
        <v>303.05</v>
      </c>
      <c r="H17" s="11">
        <v>25.66</v>
      </c>
      <c r="I17" s="12">
        <f t="shared" si="1"/>
        <v>128.3</v>
      </c>
    </row>
    <row r="18" spans="2:9" s="13" customFormat="1" ht="15">
      <c r="B18" s="18">
        <v>19</v>
      </c>
      <c r="C18" s="11" t="s">
        <v>103</v>
      </c>
      <c r="D18" s="11" t="s">
        <v>52</v>
      </c>
      <c r="E18" s="11">
        <f>+ESTRUCTURAS!I45</f>
        <v>17</v>
      </c>
      <c r="F18" s="21">
        <v>69.49</v>
      </c>
      <c r="G18" s="22">
        <f t="shared" si="0"/>
        <v>1181.33</v>
      </c>
      <c r="H18" s="11">
        <v>32.08</v>
      </c>
      <c r="I18" s="12">
        <f t="shared" si="1"/>
        <v>545.36</v>
      </c>
    </row>
    <row r="19" spans="2:9" s="13" customFormat="1" ht="15" customHeight="1">
      <c r="B19" s="18">
        <v>20</v>
      </c>
      <c r="C19" s="14" t="s">
        <v>133</v>
      </c>
      <c r="D19" s="11" t="s">
        <v>52</v>
      </c>
      <c r="E19" s="11">
        <f>+ESTRUCTURAS!I51-E20</f>
        <v>4</v>
      </c>
      <c r="F19" s="21">
        <v>264.35</v>
      </c>
      <c r="G19" s="22">
        <f t="shared" si="0"/>
        <v>1057.4</v>
      </c>
      <c r="H19" s="11">
        <v>66.23</v>
      </c>
      <c r="I19" s="12">
        <f t="shared" si="1"/>
        <v>264.92</v>
      </c>
    </row>
    <row r="20" spans="2:9" s="13" customFormat="1" ht="15" customHeight="1">
      <c r="B20" s="18">
        <v>21</v>
      </c>
      <c r="C20" s="14" t="s">
        <v>134</v>
      </c>
      <c r="D20" s="11" t="s">
        <v>52</v>
      </c>
      <c r="E20" s="11">
        <v>4</v>
      </c>
      <c r="F20" s="21">
        <f>264.35-63.28</f>
        <v>201.07000000000002</v>
      </c>
      <c r="G20" s="22">
        <f t="shared" si="0"/>
        <v>804.2800000000001</v>
      </c>
      <c r="H20" s="11">
        <f>66.23-15.66</f>
        <v>50.57000000000001</v>
      </c>
      <c r="I20" s="12">
        <f t="shared" si="1"/>
        <v>202.28000000000003</v>
      </c>
    </row>
    <row r="21" spans="2:9" s="13" customFormat="1" ht="15">
      <c r="B21" s="18">
        <v>23</v>
      </c>
      <c r="C21" s="11" t="s">
        <v>93</v>
      </c>
      <c r="D21" s="11" t="s">
        <v>52</v>
      </c>
      <c r="E21" s="11">
        <f>+ESTRUCTURAS!I53</f>
        <v>4</v>
      </c>
      <c r="F21" s="21">
        <v>1317.87</v>
      </c>
      <c r="G21" s="22">
        <f t="shared" si="0"/>
        <v>5271.48</v>
      </c>
      <c r="H21" s="12">
        <v>92.9</v>
      </c>
      <c r="I21" s="12">
        <f t="shared" si="1"/>
        <v>371.6</v>
      </c>
    </row>
    <row r="22" spans="2:9" s="13" customFormat="1" ht="15">
      <c r="B22" s="18">
        <v>24</v>
      </c>
      <c r="C22" s="11" t="s">
        <v>122</v>
      </c>
      <c r="D22" s="11" t="s">
        <v>52</v>
      </c>
      <c r="E22" s="11">
        <f>+ESTRUCTURAS!I54</f>
        <v>6</v>
      </c>
      <c r="F22" s="26">
        <v>453.5</v>
      </c>
      <c r="G22" s="22">
        <f t="shared" si="0"/>
        <v>2721</v>
      </c>
      <c r="H22" s="11">
        <v>39.15</v>
      </c>
      <c r="I22" s="12">
        <f t="shared" si="1"/>
        <v>234.89999999999998</v>
      </c>
    </row>
    <row r="23" spans="2:9" ht="15">
      <c r="B23" s="18">
        <v>25</v>
      </c>
      <c r="C23" s="8" t="s">
        <v>56</v>
      </c>
      <c r="D23" s="8" t="s">
        <v>52</v>
      </c>
      <c r="E23" s="8">
        <v>7</v>
      </c>
      <c r="F23" s="19">
        <v>591.11</v>
      </c>
      <c r="G23" s="20">
        <f t="shared" si="0"/>
        <v>4137.77</v>
      </c>
      <c r="H23" s="8">
        <v>84.15</v>
      </c>
      <c r="I23" s="9">
        <f t="shared" si="1"/>
        <v>589.0500000000001</v>
      </c>
    </row>
    <row r="24" spans="2:9" s="13" customFormat="1" ht="15">
      <c r="B24" s="18">
        <v>26</v>
      </c>
      <c r="C24" s="14" t="s">
        <v>71</v>
      </c>
      <c r="D24" s="11" t="s">
        <v>52</v>
      </c>
      <c r="E24" s="11">
        <f>+ESTRUCTURAS!I57</f>
        <v>6</v>
      </c>
      <c r="F24" s="21">
        <v>126.52</v>
      </c>
      <c r="G24" s="22">
        <f t="shared" si="0"/>
        <v>759.12</v>
      </c>
      <c r="H24" s="11">
        <v>44.15</v>
      </c>
      <c r="I24" s="12">
        <f t="shared" si="1"/>
        <v>264.9</v>
      </c>
    </row>
    <row r="25" spans="2:9" ht="15">
      <c r="B25" s="18">
        <v>27</v>
      </c>
      <c r="C25" s="8" t="s">
        <v>57</v>
      </c>
      <c r="D25" s="8" t="s">
        <v>52</v>
      </c>
      <c r="E25" s="8">
        <f>+ESTRUCTURAS!K34</f>
        <v>46</v>
      </c>
      <c r="F25" s="19" t="s">
        <v>86</v>
      </c>
      <c r="G25" s="22" t="s">
        <v>86</v>
      </c>
      <c r="H25" s="8">
        <v>184.15</v>
      </c>
      <c r="I25" s="9">
        <f t="shared" si="1"/>
        <v>8470.9</v>
      </c>
    </row>
    <row r="26" spans="2:9" ht="15">
      <c r="B26" s="18">
        <v>28</v>
      </c>
      <c r="C26" s="8" t="s">
        <v>58</v>
      </c>
      <c r="D26" s="8" t="s">
        <v>52</v>
      </c>
      <c r="E26" s="8">
        <f>+E23</f>
        <v>7</v>
      </c>
      <c r="F26" s="19" t="s">
        <v>86</v>
      </c>
      <c r="G26" s="22" t="s">
        <v>86</v>
      </c>
      <c r="H26" s="8">
        <v>192.9</v>
      </c>
      <c r="I26" s="9">
        <f t="shared" si="1"/>
        <v>1350.3</v>
      </c>
    </row>
    <row r="27" spans="2:9" ht="15">
      <c r="B27" s="18">
        <v>29</v>
      </c>
      <c r="C27" s="11" t="s">
        <v>85</v>
      </c>
      <c r="D27" s="8" t="s">
        <v>52</v>
      </c>
      <c r="E27" s="8">
        <f>+ESTRUCTURAS!I58</f>
        <v>6</v>
      </c>
      <c r="F27" s="19">
        <v>7.88</v>
      </c>
      <c r="G27" s="22">
        <f t="shared" si="0"/>
        <v>47.28</v>
      </c>
      <c r="H27" s="8">
        <v>7.45</v>
      </c>
      <c r="I27" s="9">
        <f t="shared" si="1"/>
        <v>44.7</v>
      </c>
    </row>
    <row r="28" spans="2:9" ht="15">
      <c r="B28" s="18">
        <v>30</v>
      </c>
      <c r="C28" s="8" t="s">
        <v>83</v>
      </c>
      <c r="D28" s="8" t="s">
        <v>45</v>
      </c>
      <c r="E28" s="8">
        <v>950</v>
      </c>
      <c r="F28" s="19" t="s">
        <v>86</v>
      </c>
      <c r="G28" s="20" t="s">
        <v>86</v>
      </c>
      <c r="H28" s="8">
        <v>0.64</v>
      </c>
      <c r="I28" s="9">
        <f>+E28*H28</f>
        <v>608</v>
      </c>
    </row>
    <row r="29" spans="2:9" s="17" customFormat="1" ht="15">
      <c r="B29" s="18">
        <v>31</v>
      </c>
      <c r="C29" s="24" t="s">
        <v>123</v>
      </c>
      <c r="D29" s="24" t="s">
        <v>45</v>
      </c>
      <c r="E29" s="18">
        <v>800</v>
      </c>
      <c r="F29" s="19"/>
      <c r="G29" s="20"/>
      <c r="H29" s="18">
        <v>0.82</v>
      </c>
      <c r="I29" s="9">
        <f>+E29*H29</f>
        <v>656</v>
      </c>
    </row>
    <row r="30" spans="2:9" s="17" customFormat="1" ht="15">
      <c r="B30" s="18">
        <v>32</v>
      </c>
      <c r="C30" s="24" t="s">
        <v>131</v>
      </c>
      <c r="D30" s="24" t="s">
        <v>52</v>
      </c>
      <c r="E30" s="18">
        <v>5</v>
      </c>
      <c r="F30" s="19"/>
      <c r="G30" s="20"/>
      <c r="H30" s="18">
        <v>62.9</v>
      </c>
      <c r="I30" s="9">
        <f>+E30*H30</f>
        <v>314.5</v>
      </c>
    </row>
    <row r="31" spans="2:13" s="17" customFormat="1" ht="15">
      <c r="B31" s="18">
        <v>34</v>
      </c>
      <c r="C31" s="18" t="s">
        <v>95</v>
      </c>
      <c r="D31" s="18" t="s">
        <v>96</v>
      </c>
      <c r="E31" s="18">
        <f>0.5+0.93+0.28</f>
        <v>1.7100000000000002</v>
      </c>
      <c r="F31" s="19" t="s">
        <v>86</v>
      </c>
      <c r="G31" s="20" t="s">
        <v>86</v>
      </c>
      <c r="H31" s="18">
        <v>496.6</v>
      </c>
      <c r="I31" s="9">
        <f aca="true" t="shared" si="2" ref="I31:I34">+E31*H31</f>
        <v>849.1860000000001</v>
      </c>
      <c r="J31" s="28"/>
      <c r="K31" s="28"/>
      <c r="L31" s="29"/>
      <c r="M31" s="28"/>
    </row>
    <row r="32" spans="2:13" s="17" customFormat="1" ht="15">
      <c r="B32" s="18">
        <v>35</v>
      </c>
      <c r="C32" s="18" t="s">
        <v>104</v>
      </c>
      <c r="D32" s="18" t="s">
        <v>52</v>
      </c>
      <c r="E32" s="18">
        <v>1</v>
      </c>
      <c r="F32" s="19" t="s">
        <v>86</v>
      </c>
      <c r="G32" s="20" t="s">
        <v>86</v>
      </c>
      <c r="H32" s="18">
        <v>139.35</v>
      </c>
      <c r="I32" s="9">
        <f t="shared" si="2"/>
        <v>139.35</v>
      </c>
      <c r="J32" s="28"/>
      <c r="K32" s="28"/>
      <c r="L32" s="29"/>
      <c r="M32" s="28"/>
    </row>
    <row r="33" spans="2:13" s="17" customFormat="1" ht="15">
      <c r="B33" s="18">
        <v>36</v>
      </c>
      <c r="C33" s="18" t="s">
        <v>127</v>
      </c>
      <c r="D33" s="18" t="s">
        <v>52</v>
      </c>
      <c r="E33" s="18">
        <v>2</v>
      </c>
      <c r="F33" s="19"/>
      <c r="G33" s="20" t="s">
        <v>86</v>
      </c>
      <c r="H33" s="9">
        <f>44.15*1.5</f>
        <v>66.225</v>
      </c>
      <c r="I33" s="9">
        <f t="shared" si="2"/>
        <v>132.45</v>
      </c>
      <c r="J33" s="28" t="s">
        <v>84</v>
      </c>
      <c r="K33" s="28"/>
      <c r="L33" s="29"/>
      <c r="M33" s="28"/>
    </row>
    <row r="34" spans="2:13" s="17" customFormat="1" ht="15">
      <c r="B34" s="18">
        <v>37</v>
      </c>
      <c r="C34" s="18" t="s">
        <v>130</v>
      </c>
      <c r="D34" s="18" t="s">
        <v>52</v>
      </c>
      <c r="E34" s="18">
        <f>+E24</f>
        <v>6</v>
      </c>
      <c r="F34" s="19">
        <v>49.2</v>
      </c>
      <c r="G34" s="20">
        <f>+E34*F34</f>
        <v>295.20000000000005</v>
      </c>
      <c r="H34" s="18">
        <v>40.31</v>
      </c>
      <c r="I34" s="9">
        <f t="shared" si="2"/>
        <v>241.86</v>
      </c>
      <c r="J34" s="28"/>
      <c r="K34" s="28"/>
      <c r="L34" s="29"/>
      <c r="M34" s="28"/>
    </row>
    <row r="35" spans="6:13" ht="15">
      <c r="F35" s="23"/>
      <c r="G35" s="23"/>
      <c r="H35" s="7" t="s">
        <v>48</v>
      </c>
      <c r="I35" s="10">
        <f>SUM(G6:G34)</f>
        <v>43240.8556</v>
      </c>
      <c r="J35" s="28"/>
      <c r="K35" s="28"/>
      <c r="L35" s="28"/>
      <c r="M35" s="28"/>
    </row>
    <row r="36" spans="8:13" ht="15">
      <c r="H36" s="7" t="s">
        <v>59</v>
      </c>
      <c r="I36" s="10">
        <f>SUM(I6:I34)</f>
        <v>23865.9772</v>
      </c>
      <c r="J36" s="28"/>
      <c r="K36" s="28"/>
      <c r="L36" s="28"/>
      <c r="M36" s="28"/>
    </row>
    <row r="37" spans="8:13" ht="15">
      <c r="H37" s="7" t="s">
        <v>60</v>
      </c>
      <c r="I37" s="10">
        <f>+I35+I36</f>
        <v>67106.8328</v>
      </c>
      <c r="J37" s="28"/>
      <c r="K37" s="29"/>
      <c r="L37" s="28"/>
      <c r="M37" s="28"/>
    </row>
    <row r="38" spans="8:13" ht="15">
      <c r="H38" s="7" t="s">
        <v>61</v>
      </c>
      <c r="I38" s="10">
        <f>+I37*0.12</f>
        <v>8052.819936</v>
      </c>
      <c r="J38" s="28"/>
      <c r="K38" s="28"/>
      <c r="L38" s="28"/>
      <c r="M38" s="28"/>
    </row>
    <row r="39" spans="8:13" ht="15">
      <c r="H39" s="7" t="s">
        <v>32</v>
      </c>
      <c r="I39" s="10">
        <f>+I37+I38</f>
        <v>75159.652736</v>
      </c>
      <c r="J39" s="28"/>
      <c r="K39" s="28"/>
      <c r="L39" s="28"/>
      <c r="M39" s="28"/>
    </row>
    <row r="40" spans="10:13" ht="15">
      <c r="J40" s="28"/>
      <c r="K40" s="28"/>
      <c r="L40" s="28"/>
      <c r="M40" s="28"/>
    </row>
    <row r="41" spans="8:13" ht="15">
      <c r="H41" s="16"/>
      <c r="I41" s="31"/>
      <c r="J41" s="30">
        <f>+I37-I41</f>
        <v>67106.8328</v>
      </c>
      <c r="K41" s="28"/>
      <c r="L41" s="28">
        <f>+J41/39.15</f>
        <v>1714.0953461047256</v>
      </c>
      <c r="M41" s="28"/>
    </row>
    <row r="42" spans="8:13" ht="15">
      <c r="H42" s="16"/>
      <c r="I42" s="32"/>
      <c r="J42" s="28"/>
      <c r="K42" s="28"/>
      <c r="L42" s="28"/>
      <c r="M42" s="28"/>
    </row>
    <row r="43" spans="10:13" ht="15">
      <c r="J43" s="28"/>
      <c r="K43" s="28"/>
      <c r="L43" s="28">
        <f>+J41/6.22</f>
        <v>10788.879871382638</v>
      </c>
      <c r="M43" s="28"/>
    </row>
    <row r="44" spans="8:13" ht="15">
      <c r="H44" s="16"/>
      <c r="J44" s="28"/>
      <c r="K44" s="28"/>
      <c r="L44" s="28"/>
      <c r="M44" s="28"/>
    </row>
    <row r="45" spans="8:13" ht="15">
      <c r="H45" s="16"/>
      <c r="J45" s="28"/>
      <c r="K45" s="28"/>
      <c r="L45" s="28"/>
      <c r="M45" s="28"/>
    </row>
    <row r="46" spans="8:13" ht="15">
      <c r="H46" s="16"/>
      <c r="J46" s="28"/>
      <c r="K46" s="28"/>
      <c r="L46" s="28"/>
      <c r="M46" s="28"/>
    </row>
    <row r="47" spans="10:13" ht="15">
      <c r="J47" s="28"/>
      <c r="K47" s="28"/>
      <c r="L47" s="28"/>
      <c r="M47" s="28"/>
    </row>
    <row r="48" spans="9:13" ht="15">
      <c r="I48" s="27"/>
      <c r="J48" s="28"/>
      <c r="K48" s="28"/>
      <c r="L48" s="28"/>
      <c r="M48" s="28"/>
    </row>
  </sheetData>
  <mergeCells count="1">
    <mergeCell ref="B3:I3"/>
  </mergeCells>
  <printOptions/>
  <pageMargins left="0.7" right="0.7" top="0.75" bottom="0.75" header="0.3" footer="0.3"/>
  <pageSetup fitToHeight="1" fitToWidth="1" horizontalDpi="600" verticalDpi="600" orientation="landscape" scale="59" r:id="rId1"/>
  <colBreaks count="1" manualBreakCount="1">
    <brk id="9" min="2" max="16383" man="1"/>
  </colBreaks>
  <ignoredErrors>
    <ignoredError sqref="I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GL. Lozano</dc:creator>
  <cp:keywords/>
  <dc:description/>
  <cp:lastModifiedBy>TOBIAS VERDUGO ISRAEL</cp:lastModifiedBy>
  <cp:lastPrinted>2019-05-23T16:24:30Z</cp:lastPrinted>
  <dcterms:created xsi:type="dcterms:W3CDTF">2019-02-08T18:18:07Z</dcterms:created>
  <dcterms:modified xsi:type="dcterms:W3CDTF">2019-05-23T16:24:34Z</dcterms:modified>
  <cp:category/>
  <cp:version/>
  <cp:contentType/>
  <cp:contentStatus/>
</cp:coreProperties>
</file>